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busuttj\Documents\LANDCARE\NEW PROGRAM\DRNSW GRANT PROCESS\FINAL DOCS\"/>
    </mc:Choice>
  </mc:AlternateContent>
  <xr:revisionPtr revIDLastSave="0" documentId="13_ncr:1_{82004FF6-FFCF-4756-87CE-4603DC2C9EF7}" xr6:coauthVersionLast="47" xr6:coauthVersionMax="47" xr10:uidLastSave="{00000000-0000-0000-0000-000000000000}"/>
  <workbookProtection workbookAlgorithmName="SHA-512" workbookHashValue="KxTOFb55Mnuz/hoSdF0sFIkWmSaS8MfIfqHy30DgEOMyDrGfjFC9lyYzNsLsdw2cJnE69A+hHMMEocRXm2CumA==" workbookSaltValue="y+Z6i/79z2VuR/AX0NBY7Q==" workbookSpinCount="100000" lockStructure="1"/>
  <bookViews>
    <workbookView xWindow="-110" yWindow="-110" windowWidth="38620" windowHeight="21220" xr2:uid="{292BBFFE-9599-47C1-84F1-59DEC4C21B2D}"/>
  </bookViews>
  <sheets>
    <sheet name="Templa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 l="1"/>
  <c r="C23" i="1" l="1"/>
  <c r="E6" i="1"/>
  <c r="K23" i="1" l="1"/>
  <c r="F6" i="1" l="1"/>
  <c r="G6" i="1" s="1"/>
  <c r="F5" i="1"/>
  <c r="E5" i="1"/>
  <c r="E4" i="1"/>
  <c r="H6" i="1" l="1"/>
  <c r="D11" i="1" s="1"/>
  <c r="G4" i="1"/>
  <c r="G5" i="1"/>
  <c r="J11" i="1" l="1"/>
  <c r="D16" i="1" s="1"/>
  <c r="F11" i="1"/>
  <c r="E11" i="1"/>
  <c r="I6" i="1"/>
  <c r="K6" i="1" s="1"/>
  <c r="H5" i="1"/>
  <c r="H4" i="1"/>
  <c r="D9" i="1" s="1"/>
  <c r="G7" i="1"/>
  <c r="G11" i="1" l="1"/>
  <c r="I11" i="1" s="1"/>
  <c r="K11" i="1" s="1"/>
  <c r="J16" i="1"/>
  <c r="D21" i="1" s="1"/>
  <c r="F16" i="1"/>
  <c r="E16" i="1"/>
  <c r="I5" i="1"/>
  <c r="K5" i="1" s="1"/>
  <c r="D10" i="1"/>
  <c r="E9" i="1"/>
  <c r="F9" i="1"/>
  <c r="J9" i="1"/>
  <c r="D14" i="1" s="1"/>
  <c r="I4" i="1"/>
  <c r="K4" i="1" s="1"/>
  <c r="H7" i="1"/>
  <c r="I7" i="1" s="1"/>
  <c r="K7" i="1" l="1"/>
  <c r="G16" i="1"/>
  <c r="G9" i="1"/>
  <c r="I9" i="1" s="1"/>
  <c r="K9" i="1" s="1"/>
  <c r="F21" i="1"/>
  <c r="E21" i="1"/>
  <c r="J21" i="1"/>
  <c r="E10" i="1"/>
  <c r="J10" i="1"/>
  <c r="D15" i="1" s="1"/>
  <c r="F10" i="1"/>
  <c r="F14" i="1"/>
  <c r="E14" i="1"/>
  <c r="J14" i="1"/>
  <c r="D19" i="1" s="1"/>
  <c r="G10" i="1" l="1"/>
  <c r="I10" i="1" s="1"/>
  <c r="K10" i="1" s="1"/>
  <c r="K12" i="1" s="1"/>
  <c r="G21" i="1"/>
  <c r="G14" i="1"/>
  <c r="F15" i="1"/>
  <c r="E15" i="1"/>
  <c r="J15" i="1"/>
  <c r="D20" i="1" s="1"/>
  <c r="F19" i="1"/>
  <c r="J19" i="1"/>
  <c r="E19" i="1"/>
  <c r="G15" i="1" l="1"/>
  <c r="I15" i="1"/>
  <c r="K15" i="1" s="1"/>
  <c r="I12" i="1"/>
  <c r="G19" i="1"/>
  <c r="J20" i="1"/>
  <c r="E20" i="1"/>
  <c r="F20" i="1"/>
  <c r="I16" i="1"/>
  <c r="J12" i="1"/>
  <c r="I14" i="1"/>
  <c r="G20" i="1" l="1"/>
  <c r="I17" i="1"/>
  <c r="I20" i="1"/>
  <c r="K16" i="1" l="1"/>
  <c r="I21" i="1"/>
  <c r="J17" i="1"/>
  <c r="K14" i="1"/>
  <c r="I19" i="1"/>
  <c r="K17" i="1" l="1"/>
  <c r="K21" i="1"/>
  <c r="K20" i="1"/>
  <c r="J22" i="1"/>
  <c r="K19" i="1" l="1"/>
  <c r="K22" i="1" s="1"/>
  <c r="K24" i="1" l="1"/>
</calcChain>
</file>

<file path=xl/sharedStrings.xml><?xml version="1.0" encoding="utf-8"?>
<sst xmlns="http://schemas.openxmlformats.org/spreadsheetml/2006/main" count="61" uniqueCount="27">
  <si>
    <t>Expense Category</t>
  </si>
  <si>
    <t>Role</t>
  </si>
  <si>
    <t>FTE (#)</t>
  </si>
  <si>
    <t>10% administration x allowance 
(base * 0.10)</t>
  </si>
  <si>
    <t>23% on-costs
 (base * 0.23)</t>
  </si>
  <si>
    <t>Total Salary/FTE
 (base + admin + on-costs)</t>
  </si>
  <si>
    <t>2.5% adjustment FY23/24 only</t>
  </si>
  <si>
    <t>TOTAL SALARY/ FTE</t>
  </si>
  <si>
    <t>2.5% WPI (base*0.025)</t>
  </si>
  <si>
    <t>Comments if applicable</t>
  </si>
  <si>
    <t>2023-2024</t>
  </si>
  <si>
    <t>Employment</t>
  </si>
  <si>
    <t>Local Landcare Coordinator</t>
  </si>
  <si>
    <t>N/A</t>
  </si>
  <si>
    <t>Regional Landcare Coordinator</t>
  </si>
  <si>
    <t>Regional Administration Support Officer</t>
  </si>
  <si>
    <t>Total per year</t>
  </si>
  <si>
    <t>2024-2025</t>
  </si>
  <si>
    <t>2025-2026</t>
  </si>
  <si>
    <t>2026-2027</t>
  </si>
  <si>
    <t>Professional Development</t>
  </si>
  <si>
    <t>$5k upfront and one-off payment / coordinator</t>
  </si>
  <si>
    <t>Total across grant</t>
  </si>
  <si>
    <t>Total salary 
(1st Feb - 30th Jun 2024)</t>
  </si>
  <si>
    <t>Base Rate/FTE*</t>
  </si>
  <si>
    <t>*Based on LLS Award 2022 rates and a 35 hour/week.</t>
  </si>
  <si>
    <r>
      <rPr>
        <b/>
        <sz val="11"/>
        <color theme="1"/>
        <rFont val="Calibri"/>
        <family val="2"/>
        <scheme val="minor"/>
      </rPr>
      <t>Instructions</t>
    </r>
    <r>
      <rPr>
        <sz val="11"/>
        <color theme="1"/>
        <rFont val="Calibri"/>
        <family val="2"/>
        <scheme val="minor"/>
      </rPr>
      <t xml:space="preserve">: Please complete the number of FTE estimated for each financial year in Column C (blue). For FY23/24, your estimated FTE should include from the period of </t>
    </r>
    <r>
      <rPr>
        <b/>
        <sz val="11"/>
        <color theme="1"/>
        <rFont val="Calibri"/>
        <family val="2"/>
        <scheme val="minor"/>
      </rPr>
      <t xml:space="preserve">1st February 2024. 
</t>
    </r>
    <r>
      <rPr>
        <sz val="11"/>
        <color theme="1"/>
        <rFont val="Calibri"/>
        <family val="2"/>
        <scheme val="minor"/>
      </rPr>
      <t xml:space="preserve">This start date is indicative only and may be earlier or later. 
The total amount per region may be different to the Maximum funding available for all roles up to June 2027 (Guidelines) as it is dependent on #FTE and when contracts commence with successful applicants.
All other cells are locked and based on the base rate for each role. 
The yellow column N, is the total amount required per financial year
FTE figures are an example only. Please refer to the Guidelines for specific FTE allocation for your relevant region.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</si>
</sst>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00_);_(&quot;$&quot;* \(#,##0.00\);_(&quot;$&quot;* &quot;-&quot;??_);_(@_)"/>
    <numFmt numFmtId="165" formatCode="_-&quot;$&quot;* #,##0.0_-;\-&quot;$&quot;* #,##0.0_-;_-&quot;$&quot;* &quot;-&quot;?_-;_-@_-"/>
  </numFmts>
  <fonts count="10" x14ac:knownFonts="1">
    <font>
      <sz val="11"/>
      <color theme="1"/>
      <name val="Calibri"/>
      <family val="2"/>
      <scheme val="minor"/>
    </font>
    <font>
      <b/>
      <sz val="11"/>
      <color theme="0"/>
      <name val="Arial"/>
      <family val="2"/>
    </font>
    <font>
      <sz val="11"/>
      <color theme="1"/>
      <name val="Public Sans Light"/>
    </font>
    <font>
      <b/>
      <sz val="11"/>
      <color theme="1"/>
      <name val="Calibri"/>
      <family val="2"/>
      <scheme val="minor"/>
    </font>
    <font>
      <sz val="11"/>
      <color theme="1"/>
      <name val="Calibri"/>
      <family val="2"/>
      <scheme val="minor"/>
    </font>
    <font>
      <sz val="11"/>
      <name val="Calibri"/>
      <family val="2"/>
      <scheme val="minor"/>
    </font>
    <font>
      <sz val="8"/>
      <name val="Calibri"/>
      <family val="2"/>
      <scheme val="minor"/>
    </font>
    <font>
      <i/>
      <sz val="11"/>
      <color theme="1"/>
      <name val="Calibri"/>
      <family val="2"/>
      <scheme val="minor"/>
    </font>
    <font>
      <sz val="11"/>
      <color rgb="FFFF0000"/>
      <name val="Calibri"/>
      <family val="2"/>
      <scheme val="minor"/>
    </font>
    <font>
      <u/>
      <sz val="11"/>
      <color theme="10"/>
      <name val="Calibri"/>
      <family val="2"/>
      <scheme val="minor"/>
    </font>
  </fonts>
  <fills count="6">
    <fill>
      <patternFill patternType="none"/>
    </fill>
    <fill>
      <patternFill patternType="gray125"/>
    </fill>
    <fill>
      <patternFill patternType="solid">
        <fgColor rgb="FF0070C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FF00"/>
        <bgColor indexed="64"/>
      </patternFill>
    </fill>
  </fills>
  <borders count="9">
    <border>
      <left/>
      <right/>
      <top/>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xf numFmtId="44" fontId="4" fillId="0" borderId="0" applyFont="0" applyFill="0" applyBorder="0" applyAlignment="0" applyProtection="0"/>
    <xf numFmtId="0" fontId="9" fillId="0" borderId="0" applyNumberFormat="0" applyFill="0" applyBorder="0" applyAlignment="0" applyProtection="0"/>
  </cellStyleXfs>
  <cellXfs count="66">
    <xf numFmtId="0" fontId="0" fillId="0" borderId="0" xfId="0"/>
    <xf numFmtId="0" fontId="2" fillId="0" borderId="0" xfId="0" applyFont="1"/>
    <xf numFmtId="0" fontId="1" fillId="2" borderId="1" xfId="0" applyFont="1" applyFill="1" applyBorder="1" applyAlignment="1" applyProtection="1">
      <alignment vertical="center"/>
      <protection locked="0"/>
    </xf>
    <xf numFmtId="0" fontId="1" fillId="0" borderId="2" xfId="0" applyFont="1" applyBorder="1" applyAlignment="1" applyProtection="1">
      <alignment vertical="center"/>
      <protection locked="0"/>
    </xf>
    <xf numFmtId="0" fontId="0" fillId="0" borderId="3" xfId="0" applyBorder="1" applyProtection="1">
      <protection locked="0"/>
    </xf>
    <xf numFmtId="4" fontId="0" fillId="0" borderId="0" xfId="0" applyNumberFormat="1"/>
    <xf numFmtId="0" fontId="0" fillId="0" borderId="4" xfId="0" applyBorder="1" applyProtection="1">
      <protection locked="0"/>
    </xf>
    <xf numFmtId="0" fontId="0" fillId="0" borderId="5" xfId="0" applyBorder="1" applyProtection="1">
      <protection locked="0"/>
    </xf>
    <xf numFmtId="165" fontId="0" fillId="0" borderId="0" xfId="0" applyNumberFormat="1"/>
    <xf numFmtId="44" fontId="0" fillId="0" borderId="0" xfId="0" applyNumberFormat="1"/>
    <xf numFmtId="0" fontId="3" fillId="0" borderId="6" xfId="0" applyFont="1" applyBorder="1"/>
    <xf numFmtId="0" fontId="0" fillId="0" borderId="6" xfId="0" applyBorder="1"/>
    <xf numFmtId="0" fontId="3" fillId="0" borderId="0" xfId="0" applyFont="1"/>
    <xf numFmtId="0" fontId="3" fillId="0" borderId="0" xfId="0" applyFont="1" applyProtection="1">
      <protection locked="0"/>
    </xf>
    <xf numFmtId="44" fontId="0" fillId="0" borderId="0" xfId="1" applyFont="1" applyFill="1" applyAlignment="1">
      <alignment horizontal="right"/>
    </xf>
    <xf numFmtId="44" fontId="3" fillId="0" borderId="0" xfId="1" applyFont="1" applyFill="1" applyBorder="1" applyAlignment="1">
      <alignment horizontal="right"/>
    </xf>
    <xf numFmtId="0" fontId="0" fillId="0" borderId="0" xfId="0" applyAlignment="1">
      <alignment horizontal="center" vertical="center" wrapText="1"/>
    </xf>
    <xf numFmtId="0" fontId="0" fillId="3" borderId="0" xfId="0" applyFill="1" applyAlignment="1">
      <alignment horizontal="center" vertical="center" wrapText="1"/>
    </xf>
    <xf numFmtId="0" fontId="5" fillId="5" borderId="0" xfId="0" applyFont="1" applyFill="1" applyAlignment="1">
      <alignment horizontal="center" vertical="center" wrapText="1"/>
    </xf>
    <xf numFmtId="4" fontId="0" fillId="3" borderId="0" xfId="0" applyNumberForma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xf>
    <xf numFmtId="0" fontId="0" fillId="4" borderId="0" xfId="0" applyFill="1" applyAlignment="1">
      <alignment horizontal="center"/>
    </xf>
    <xf numFmtId="0" fontId="0" fillId="0" borderId="0" xfId="0" applyAlignment="1">
      <alignment horizontal="center" vertical="center"/>
    </xf>
    <xf numFmtId="0" fontId="0" fillId="4" borderId="0" xfId="0" applyFill="1" applyAlignment="1">
      <alignment horizontal="center" vertical="center"/>
    </xf>
    <xf numFmtId="0" fontId="5" fillId="0" borderId="0" xfId="0" applyFont="1" applyAlignment="1">
      <alignment horizontal="center" vertical="center"/>
    </xf>
    <xf numFmtId="0" fontId="3" fillId="0" borderId="7" xfId="0" applyFont="1" applyBorder="1" applyProtection="1">
      <protection locked="0"/>
    </xf>
    <xf numFmtId="0" fontId="2" fillId="0" borderId="7" xfId="0" applyFont="1" applyBorder="1"/>
    <xf numFmtId="44" fontId="7" fillId="0" borderId="7" xfId="1" applyFont="1" applyFill="1" applyBorder="1" applyAlignment="1">
      <alignment horizontal="right"/>
    </xf>
    <xf numFmtId="44" fontId="3" fillId="0" borderId="7" xfId="1" applyFont="1" applyFill="1" applyBorder="1" applyAlignment="1">
      <alignment horizontal="right"/>
    </xf>
    <xf numFmtId="0" fontId="7" fillId="4" borderId="0" xfId="0" applyFont="1" applyFill="1" applyAlignment="1">
      <alignment horizontal="center"/>
    </xf>
    <xf numFmtId="0" fontId="7" fillId="4" borderId="7" xfId="0" applyFont="1"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44" fontId="0" fillId="0" borderId="0" xfId="1" applyFont="1" applyAlignment="1">
      <alignment horizontal="center"/>
    </xf>
    <xf numFmtId="9" fontId="0" fillId="0" borderId="0" xfId="0" applyNumberFormat="1" applyAlignment="1">
      <alignment horizontal="center"/>
    </xf>
    <xf numFmtId="164" fontId="0" fillId="0" borderId="0" xfId="0" applyNumberFormat="1"/>
    <xf numFmtId="44" fontId="3" fillId="0" borderId="0" xfId="0" applyNumberFormat="1" applyFont="1"/>
    <xf numFmtId="44" fontId="0" fillId="0" borderId="0" xfId="1" applyFont="1"/>
    <xf numFmtId="0" fontId="0" fillId="0" borderId="0" xfId="0" applyFill="1"/>
    <xf numFmtId="0" fontId="3" fillId="0" borderId="0" xfId="0" applyFont="1" applyFill="1" applyAlignment="1">
      <alignment horizontal="center" vertical="center" wrapText="1"/>
    </xf>
    <xf numFmtId="44" fontId="0" fillId="0" borderId="0" xfId="0" applyNumberFormat="1" applyFill="1"/>
    <xf numFmtId="164" fontId="3" fillId="0" borderId="0" xfId="0" applyNumberFormat="1" applyFont="1" applyFill="1"/>
    <xf numFmtId="44" fontId="3" fillId="0" borderId="0" xfId="0" applyNumberFormat="1" applyFont="1" applyFill="1"/>
    <xf numFmtId="0" fontId="3" fillId="0" borderId="0" xfId="0" applyFont="1" applyFill="1"/>
    <xf numFmtId="44" fontId="0" fillId="0" borderId="0" xfId="0" applyNumberFormat="1" applyFill="1" applyAlignment="1">
      <alignment horizontal="right"/>
    </xf>
    <xf numFmtId="165" fontId="0" fillId="0" borderId="0" xfId="0" applyNumberFormat="1" applyFill="1"/>
    <xf numFmtId="44" fontId="0" fillId="0" borderId="7" xfId="1" applyFont="1" applyFill="1" applyBorder="1" applyAlignment="1">
      <alignment horizontal="right"/>
    </xf>
    <xf numFmtId="0" fontId="0" fillId="0" borderId="0" xfId="0" applyFill="1" applyAlignment="1">
      <alignment horizontal="right"/>
    </xf>
    <xf numFmtId="44" fontId="3" fillId="0" borderId="7" xfId="0" applyNumberFormat="1" applyFont="1" applyFill="1" applyBorder="1" applyAlignment="1">
      <alignment horizontal="right"/>
    </xf>
    <xf numFmtId="44" fontId="3" fillId="0" borderId="0" xfId="0" applyNumberFormat="1" applyFont="1" applyFill="1" applyAlignment="1">
      <alignment horizontal="right"/>
    </xf>
    <xf numFmtId="0" fontId="0" fillId="0" borderId="6" xfId="0" applyFill="1" applyBorder="1" applyAlignment="1">
      <alignment horizontal="right"/>
    </xf>
    <xf numFmtId="4" fontId="0" fillId="0" borderId="6" xfId="0" applyNumberFormat="1" applyFill="1" applyBorder="1" applyAlignment="1">
      <alignment horizontal="right"/>
    </xf>
    <xf numFmtId="44" fontId="3" fillId="0" borderId="8" xfId="0" applyNumberFormat="1" applyFont="1" applyFill="1" applyBorder="1" applyAlignment="1">
      <alignment horizontal="right"/>
    </xf>
    <xf numFmtId="4" fontId="0" fillId="0" borderId="0" xfId="0" applyNumberFormat="1" applyFill="1" applyAlignment="1">
      <alignment horizontal="right"/>
    </xf>
    <xf numFmtId="44" fontId="7" fillId="0" borderId="0" xfId="0" applyNumberFormat="1" applyFont="1" applyFill="1"/>
    <xf numFmtId="4" fontId="0" fillId="0" borderId="0" xfId="0" applyNumberFormat="1" applyFill="1"/>
    <xf numFmtId="44" fontId="8" fillId="0" borderId="0" xfId="0" applyNumberFormat="1" applyFont="1" applyFill="1"/>
    <xf numFmtId="0" fontId="7" fillId="4" borderId="0" xfId="0" applyFont="1" applyFill="1" applyAlignment="1" applyProtection="1">
      <alignment horizontal="center"/>
      <protection locked="0"/>
    </xf>
    <xf numFmtId="44" fontId="3" fillId="0" borderId="0" xfId="1" applyFont="1" applyFill="1" applyAlignment="1">
      <alignment horizontal="right"/>
    </xf>
    <xf numFmtId="0" fontId="0" fillId="4" borderId="0" xfId="0" applyFill="1" applyAlignment="1" applyProtection="1">
      <alignment horizontal="center"/>
    </xf>
    <xf numFmtId="0" fontId="9" fillId="0" borderId="0" xfId="2"/>
    <xf numFmtId="165" fontId="0" fillId="0" borderId="0" xfId="0" applyNumberFormat="1" applyFill="1" applyAlignment="1" applyProtection="1">
      <alignment wrapText="1"/>
      <protection locked="0"/>
    </xf>
    <xf numFmtId="165" fontId="0" fillId="0" borderId="0" xfId="0" applyNumberFormat="1" applyFill="1" applyProtection="1">
      <protection locked="0"/>
    </xf>
    <xf numFmtId="165" fontId="3" fillId="0" borderId="0" xfId="0" applyNumberFormat="1" applyFont="1" applyFill="1" applyProtection="1">
      <protection locked="0"/>
    </xf>
    <xf numFmtId="0" fontId="0" fillId="0" borderId="0" xfId="0" applyAlignment="1">
      <alignment horizontal="left" vertical="top" wrapText="1"/>
    </xf>
  </cellXfs>
  <cellStyles count="3">
    <cellStyle name="Currency" xfId="1" builtinId="4"/>
    <cellStyle name="Hyperlink" xfId="2" builtinId="8"/>
    <cellStyle name="Normal" xfId="0" builtinId="0"/>
  </cellStyles>
  <dxfs count="11">
    <dxf>
      <numFmt numFmtId="165" formatCode="_-&quot;$&quot;* #,##0.0_-;\-&quot;$&quot;* #,##0.0_-;_-&quot;$&quot;* &quot;-&quot;?_-;_-@_-"/>
    </dxf>
    <dxf>
      <numFmt numFmtId="34" formatCode="_-&quot;$&quot;* #,##0.00_-;\-&quot;$&quot;* #,##0.00_-;_-&quot;$&quot;* &quot;-&quot;??_-;_-@_-"/>
      <fill>
        <patternFill patternType="none">
          <fgColor indexed="64"/>
          <bgColor auto="1"/>
        </patternFill>
      </fill>
    </dxf>
    <dxf>
      <numFmt numFmtId="4" formatCode="#,##0.00"/>
    </dxf>
    <dxf>
      <numFmt numFmtId="34" formatCode="_-&quot;$&quot;* #,##0.00_-;\-&quot;$&quot;* #,##0.00_-;_-&quot;$&quot;* &quot;-&quot;??_-;_-@_-"/>
      <fill>
        <patternFill patternType="none">
          <fgColor indexed="64"/>
          <bgColor auto="1"/>
        </patternFill>
      </fill>
      <alignment horizontal="right" vertical="bottom" textRotation="0" wrapText="0" indent="0" justifyLastLine="0" shrinkToFit="0" readingOrder="0"/>
    </dxf>
    <dxf>
      <numFmt numFmtId="34" formatCode="_-&quot;$&quot;* #,##0.00_-;\-&quot;$&quot;* #,##0.00_-;_-&quot;$&quot;* &quot;-&quot;??_-;_-@_-"/>
    </dxf>
    <dxf>
      <numFmt numFmtId="34" formatCode="_-&quot;$&quot;* #,##0.00_-;\-&quot;$&quot;* #,##0.00_-;_-&quot;$&quot;* &quot;-&quot;??_-;_-@_-"/>
    </dxf>
    <dxf>
      <numFmt numFmtId="34" formatCode="_-&quot;$&quot;* #,##0.00_-;\-&quot;$&quot;* #,##0.00_-;_-&quot;$&quot;* &quot;-&quot;??_-;_-@_-"/>
    </dxf>
    <dxf>
      <numFmt numFmtId="165" formatCode="_-&quot;$&quot;* #,##0.0_-;\-&quot;$&quot;* #,##0.0_-;_-&quot;$&quot;* &quot;-&quot;?_-;_-@_-"/>
    </dxf>
    <dxf>
      <font>
        <b val="0"/>
        <i val="0"/>
        <strike val="0"/>
        <condense val="0"/>
        <extend val="0"/>
        <outline val="0"/>
        <shadow val="0"/>
        <u val="none"/>
        <vertAlign val="baseline"/>
        <sz val="11"/>
        <color theme="1"/>
        <name val="Calibri"/>
        <family val="2"/>
        <scheme val="minor"/>
      </font>
    </dxf>
    <dxf>
      <fill>
        <patternFill patternType="solid">
          <fgColor indexed="64"/>
          <bgColor theme="4" tint="0.39997558519241921"/>
        </patternFill>
      </fill>
      <alignment horizontal="center" textRotation="0" indent="0" justifyLastLine="0" shrinkToFit="0" readingOrder="0"/>
    </dxf>
    <dxf>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532279</xdr:colOff>
      <xdr:row>0</xdr:row>
      <xdr:rowOff>4669</xdr:rowOff>
    </xdr:from>
    <xdr:to>
      <xdr:col>10</xdr:col>
      <xdr:colOff>1027206</xdr:colOff>
      <xdr:row>0</xdr:row>
      <xdr:rowOff>549062</xdr:rowOff>
    </xdr:to>
    <xdr:pic>
      <xdr:nvPicPr>
        <xdr:cNvPr id="3" name="Picture 2" descr="NSW Government Logo&#10;">
          <a:extLst>
            <a:ext uri="{FF2B5EF4-FFF2-40B4-BE49-F238E27FC236}">
              <a16:creationId xmlns:a16="http://schemas.microsoft.com/office/drawing/2014/main" id="{A6F5B67F-022D-437F-AADF-8A76FB2E48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29963" y="4669"/>
          <a:ext cx="494927" cy="53804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8812E3-1ED2-4E1C-8A33-6D86889108B8}" name="Table2" displayName="Table2" ref="A2:L21" totalsRowShown="0" headerRowDxfId="10">
  <autoFilter ref="A2:L21" xr:uid="{EA8812E3-1ED2-4E1C-8A33-6D86889108B8}"/>
  <tableColumns count="12">
    <tableColumn id="1" xr3:uid="{2207BB9E-9FFE-447F-997B-1698085A5043}" name="Expense Category"/>
    <tableColumn id="2" xr3:uid="{2F5BD666-0B68-4655-81E3-A050CBECCF57}" name="Role"/>
    <tableColumn id="3" xr3:uid="{7ACE37B3-9456-437E-BB5D-5E68CEF7B282}" name="FTE (#)" dataDxfId="9"/>
    <tableColumn id="15" xr3:uid="{BB846F02-7FC7-4633-BE92-673EE5D6655E}" name="Base Rate/FTE*" dataDxfId="8" dataCellStyle="Currency"/>
    <tableColumn id="9" xr3:uid="{F9A12CC9-77E5-4F9C-92CF-FE1FE8C45044}" name="10% administration x allowance _x000a_(base * 0.10)" dataDxfId="7">
      <calculatedColumnFormula>#REF!*0.1</calculatedColumnFormula>
    </tableColumn>
    <tableColumn id="10" xr3:uid="{DA710194-B45D-4FD8-9D90-95ADAADB3F6E}" name="23% on-costs_x000a_ (base * 0.23)" dataDxfId="6">
      <calculatedColumnFormula>#REF!*0.23</calculatedColumnFormula>
    </tableColumn>
    <tableColumn id="8" xr3:uid="{16BAF4B6-2846-4835-B23D-B0CF2C76F262}" name="Total Salary/FTE_x000a_ (base + admin + on-costs)" dataDxfId="5">
      <calculatedColumnFormula>SUM(#REF!,F3)</calculatedColumnFormula>
    </tableColumn>
    <tableColumn id="14" xr3:uid="{A1500520-AAA6-4008-8504-A1654FD67F7E}" name="2.5% adjustment FY23/24 only" dataDxfId="4">
      <calculatedColumnFormula>#REF!*1.025</calculatedColumnFormula>
    </tableColumn>
    <tableColumn id="20" xr3:uid="{A8AB0F37-9EC7-477A-BC8E-B99D7F7E8FEC}" name="TOTAL SALARY/ FTE" dataDxfId="3">
      <calculatedColumnFormula>SUM(Table2[[#This Row],[Total Salary/FTE
 (base + admin + on-costs)]:[2.5% adjustment FY23/24 only]])</calculatedColumnFormula>
    </tableColumn>
    <tableColumn id="6" xr3:uid="{F56513DD-A554-49AE-8A36-2E119F7FC89D}" name="2.5% WPI (base*0.025)" dataDxfId="2"/>
    <tableColumn id="11" xr3:uid="{79F9115A-7134-4A1A-B68D-F7C49CE6E000}" name="Total salary _x000a_(1st Feb - 30th Jun 2024)" dataDxfId="1">
      <calculatedColumnFormula>SUM(Table2[[#This Row],[Total Salary/FTE
 (base + admin + on-costs)]:[2.5% WPI (base*0.025)]]) * Table2[[#This Row],[FTE ('#)]]</calculatedColumnFormula>
    </tableColumn>
    <tableColumn id="13" xr3:uid="{15D5B275-FFE3-458C-9534-4D85719DF25A}" name="Comments if applicable" dataDxfId="0">
      <calculatedColumnFormula>Table2[[#This Row],[Total salary 
(1st Feb - 30th Jun 2024)]]*0.5</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rcgazette.justice.nsw.gov.au/irc/ircgazette.nsf/webviewdate/C9506"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E8401-663F-44C9-A478-083A7D29D0A4}">
  <dimension ref="A1:O43"/>
  <sheetViews>
    <sheetView tabSelected="1" zoomScale="130" zoomScaleNormal="130" workbookViewId="0">
      <selection activeCell="G12" sqref="G12"/>
    </sheetView>
  </sheetViews>
  <sheetFormatPr defaultColWidth="8.85546875" defaultRowHeight="15" x14ac:dyDescent="0.25"/>
  <cols>
    <col min="1" max="1" width="22.42578125" customWidth="1"/>
    <col min="2" max="2" width="42.42578125" customWidth="1"/>
    <col min="3" max="3" width="7.5703125" style="21" customWidth="1"/>
    <col min="4" max="4" width="14.5703125" bestFit="1" customWidth="1"/>
    <col min="5" max="6" width="14.140625" customWidth="1"/>
    <col min="7" max="8" width="15.42578125" customWidth="1"/>
    <col min="9" max="9" width="14.140625" customWidth="1"/>
    <col min="10" max="10" width="16" style="5" customWidth="1"/>
    <col min="11" max="11" width="15.85546875" customWidth="1"/>
    <col min="12" max="12" width="23.7109375" customWidth="1"/>
    <col min="13" max="13" width="18.5703125" style="39" customWidth="1"/>
    <col min="14" max="14" width="19" style="39" customWidth="1"/>
  </cols>
  <sheetData>
    <row r="1" spans="1:14" ht="102.6" customHeight="1" x14ac:dyDescent="0.25">
      <c r="A1" s="65" t="s">
        <v>26</v>
      </c>
      <c r="B1" s="65"/>
      <c r="C1" s="65"/>
      <c r="D1" s="65"/>
      <c r="E1" s="65"/>
      <c r="F1" s="65"/>
      <c r="G1" s="65"/>
      <c r="H1" s="65"/>
      <c r="I1" s="65"/>
      <c r="J1" s="65"/>
      <c r="K1" s="65"/>
    </row>
    <row r="2" spans="1:14" s="23" customFormat="1" ht="60" x14ac:dyDescent="0.25">
      <c r="A2" s="23" t="s">
        <v>0</v>
      </c>
      <c r="B2" s="23" t="s">
        <v>1</v>
      </c>
      <c r="C2" s="24" t="s">
        <v>2</v>
      </c>
      <c r="D2" s="23" t="s">
        <v>24</v>
      </c>
      <c r="E2" s="16" t="s">
        <v>3</v>
      </c>
      <c r="F2" s="16" t="s">
        <v>4</v>
      </c>
      <c r="G2" s="16" t="s">
        <v>5</v>
      </c>
      <c r="H2" s="17" t="s">
        <v>6</v>
      </c>
      <c r="I2" s="18" t="s">
        <v>7</v>
      </c>
      <c r="J2" s="19" t="s">
        <v>8</v>
      </c>
      <c r="K2" s="20" t="s">
        <v>23</v>
      </c>
      <c r="L2" s="25" t="s">
        <v>9</v>
      </c>
      <c r="M2" s="40"/>
      <c r="N2" s="40"/>
    </row>
    <row r="3" spans="1:14" x14ac:dyDescent="0.25">
      <c r="A3" s="2" t="s">
        <v>10</v>
      </c>
      <c r="B3" s="3"/>
      <c r="C3" s="22"/>
      <c r="E3" s="8"/>
      <c r="F3" s="9"/>
      <c r="G3" s="9"/>
      <c r="H3" s="9"/>
      <c r="I3" s="9"/>
      <c r="K3" s="9"/>
      <c r="L3" s="8"/>
    </row>
    <row r="4" spans="1:14" ht="18" x14ac:dyDescent="0.35">
      <c r="A4" s="4" t="s">
        <v>11</v>
      </c>
      <c r="B4" s="1" t="s">
        <v>12</v>
      </c>
      <c r="C4" s="58"/>
      <c r="D4" s="14">
        <v>78581</v>
      </c>
      <c r="E4" s="14">
        <f>Table2[[#This Row],[Base Rate/FTE*]]*0.1</f>
        <v>7858.1</v>
      </c>
      <c r="F4" s="14">
        <f>Table2[[#This Row],[Base Rate/FTE*]]*0.23</f>
        <v>18073.63</v>
      </c>
      <c r="G4" s="14">
        <f>SUM(Table2[[#This Row],[Base Rate/FTE*]:[23% on-costs
 (base * 0.23)]])</f>
        <v>104512.73000000001</v>
      </c>
      <c r="H4" s="14">
        <f>Table2[[#This Row],[Total Salary/FTE
 (base + admin + on-costs)]]*0.025</f>
        <v>2612.8182500000003</v>
      </c>
      <c r="I4" s="14">
        <f>SUM(Table2[[#This Row],[Total Salary/FTE
 (base + admin + on-costs)]:[2.5% adjustment FY23/24 only]])</f>
        <v>107125.54825000001</v>
      </c>
      <c r="J4" s="14" t="s">
        <v>13</v>
      </c>
      <c r="K4" s="14">
        <f>(Table2[[#This Row],[TOTAL SALARY/ FTE]]/12)* 5*Table2[[#This Row],[FTE ('#)]]</f>
        <v>0</v>
      </c>
      <c r="L4" s="62"/>
      <c r="M4" s="41"/>
      <c r="N4" s="41"/>
    </row>
    <row r="5" spans="1:14" ht="18" x14ac:dyDescent="0.35">
      <c r="A5" s="4" t="s">
        <v>11</v>
      </c>
      <c r="B5" s="1" t="s">
        <v>14</v>
      </c>
      <c r="C5" s="58"/>
      <c r="D5" s="14">
        <v>93474</v>
      </c>
      <c r="E5" s="14">
        <f>Table2[[#This Row],[Base Rate/FTE*]]*0.1</f>
        <v>9347.4</v>
      </c>
      <c r="F5" s="14">
        <f>Table2[[#This Row],[Base Rate/FTE*]]*0.23</f>
        <v>21499.02</v>
      </c>
      <c r="G5" s="14">
        <f>SUM(Table2[[#This Row],[Base Rate/FTE*]:[23% on-costs
 (base * 0.23)]])</f>
        <v>124320.42</v>
      </c>
      <c r="H5" s="14">
        <f>Table2[[#This Row],[Total Salary/FTE
 (base + admin + on-costs)]]*0.025</f>
        <v>3108.0105000000003</v>
      </c>
      <c r="I5" s="14">
        <f>SUM(Table2[[#This Row],[Total Salary/FTE
 (base + admin + on-costs)]:[2.5% adjustment FY23/24 only]])</f>
        <v>127428.4305</v>
      </c>
      <c r="J5" s="14" t="s">
        <v>13</v>
      </c>
      <c r="K5" s="14">
        <f>(Table2[[#This Row],[TOTAL SALARY/ FTE]]/12)* 5 *Table2[[#This Row],[FTE ('#)]]</f>
        <v>0</v>
      </c>
      <c r="L5" s="62"/>
      <c r="M5" s="41"/>
      <c r="N5" s="41"/>
    </row>
    <row r="6" spans="1:14" ht="18" x14ac:dyDescent="0.35">
      <c r="A6" s="6" t="s">
        <v>11</v>
      </c>
      <c r="B6" s="1" t="s">
        <v>15</v>
      </c>
      <c r="C6" s="58"/>
      <c r="D6" s="14">
        <v>71764</v>
      </c>
      <c r="E6" s="14">
        <f>Table2[[#This Row],[Base Rate/FTE*]]*0.1</f>
        <v>7176.4000000000005</v>
      </c>
      <c r="F6" s="14">
        <f>Table2[[#This Row],[Base Rate/FTE*]]*0.23</f>
        <v>16505.72</v>
      </c>
      <c r="G6" s="14">
        <f>SUM(Table2[[#This Row],[Base Rate/FTE*]:[23% on-costs
 (base * 0.23)]])</f>
        <v>95446.12</v>
      </c>
      <c r="H6" s="14">
        <f>Table2[[#This Row],[Total Salary/FTE
 (base + admin + on-costs)]]*0.025</f>
        <v>2386.1529999999998</v>
      </c>
      <c r="I6" s="14">
        <f>SUM(Table2[[#This Row],[Total Salary/FTE
 (base + admin + on-costs)]:[2.5% adjustment FY23/24 only]])</f>
        <v>97832.273000000001</v>
      </c>
      <c r="J6" s="14" t="s">
        <v>13</v>
      </c>
      <c r="K6" s="14">
        <f>(Table2[[#This Row],[TOTAL SALARY/ FTE]]/12)* 5 *Table2[[#This Row],[FTE ('#)]]</f>
        <v>0</v>
      </c>
      <c r="L6" s="63"/>
    </row>
    <row r="7" spans="1:14" ht="18" customHeight="1" thickBot="1" x14ac:dyDescent="0.4">
      <c r="A7" s="26" t="s">
        <v>16</v>
      </c>
      <c r="B7" s="27"/>
      <c r="C7" s="31"/>
      <c r="D7" s="47"/>
      <c r="E7" s="47"/>
      <c r="F7" s="47"/>
      <c r="G7" s="28">
        <f>SUM(G4:G6)</f>
        <v>324279.27</v>
      </c>
      <c r="H7" s="28">
        <f t="shared" ref="H7" si="0">SUM(H4:H6)</f>
        <v>8106.9817500000008</v>
      </c>
      <c r="I7" s="28">
        <f>SUM(Table2[[#This Row],[Total Salary/FTE
 (base + admin + on-costs)]:[2.5% adjustment FY23/24 only]])</f>
        <v>332386.25175</v>
      </c>
      <c r="J7" s="47"/>
      <c r="K7" s="59">
        <f>SUM(K4:K6)</f>
        <v>0</v>
      </c>
      <c r="L7" s="64"/>
      <c r="M7" s="42"/>
      <c r="N7" s="42"/>
    </row>
    <row r="8" spans="1:14" ht="15.75" thickTop="1" x14ac:dyDescent="0.25">
      <c r="A8" s="2" t="s">
        <v>17</v>
      </c>
      <c r="B8" s="7"/>
      <c r="C8" s="30"/>
      <c r="D8" s="14"/>
      <c r="E8" s="14"/>
      <c r="F8" s="14"/>
      <c r="G8" s="14"/>
      <c r="H8" s="14"/>
      <c r="I8" s="14"/>
      <c r="J8" s="14"/>
      <c r="K8" s="41"/>
      <c r="L8" s="46"/>
    </row>
    <row r="9" spans="1:14" ht="18" x14ac:dyDescent="0.35">
      <c r="A9" s="4" t="s">
        <v>11</v>
      </c>
      <c r="B9" s="1" t="s">
        <v>12</v>
      </c>
      <c r="C9" s="58"/>
      <c r="D9" s="14">
        <f>SUM(D4,H4)</f>
        <v>81193.818249999997</v>
      </c>
      <c r="E9" s="14">
        <f>Table2[[#This Row],[Base Rate/FTE*]]*0.1</f>
        <v>8119.3818250000004</v>
      </c>
      <c r="F9" s="14">
        <f>Table2[[#This Row],[Base Rate/FTE*]]*0.23</f>
        <v>18674.578197499999</v>
      </c>
      <c r="G9" s="14">
        <f>SUM(D9, E9,F9)</f>
        <v>107987.7782725</v>
      </c>
      <c r="H9" s="14" t="s">
        <v>13</v>
      </c>
      <c r="I9" s="14">
        <f>Table2[[#This Row],[Total Salary/FTE
 (base + admin + on-costs)]]</f>
        <v>107987.7782725</v>
      </c>
      <c r="J9" s="14">
        <f>Table2[[#This Row],[Base Rate/FTE*]]*0.025</f>
        <v>2029.8454562500001</v>
      </c>
      <c r="K9" s="14">
        <f>SUM(J9,I9)*Table2[[#This Row],[FTE ('#)]]</f>
        <v>0</v>
      </c>
      <c r="L9" s="63"/>
    </row>
    <row r="10" spans="1:14" ht="18" x14ac:dyDescent="0.35">
      <c r="A10" s="4" t="s">
        <v>11</v>
      </c>
      <c r="B10" s="1" t="s">
        <v>14</v>
      </c>
      <c r="C10" s="58"/>
      <c r="D10" s="14">
        <f t="shared" ref="D10:D11" si="1">SUM(D5,H5)</f>
        <v>96582.010500000004</v>
      </c>
      <c r="E10" s="14">
        <f>Table2[[#This Row],[Base Rate/FTE*]]*0.1</f>
        <v>9658.2010500000015</v>
      </c>
      <c r="F10" s="14">
        <f>Table2[[#This Row],[Base Rate/FTE*]]*0.23</f>
        <v>22213.862415000003</v>
      </c>
      <c r="G10" s="14">
        <f t="shared" ref="G10:G21" si="2">SUM(D10, E10,F10)</f>
        <v>128454.07396500002</v>
      </c>
      <c r="H10" s="14" t="s">
        <v>13</v>
      </c>
      <c r="I10" s="14">
        <f>Table2[[#This Row],[Total Salary/FTE
 (base + admin + on-costs)]]</f>
        <v>128454.07396500002</v>
      </c>
      <c r="J10" s="14">
        <f>Table2[[#This Row],[Base Rate/FTE*]]*0.025</f>
        <v>2414.5502625000004</v>
      </c>
      <c r="K10" s="14">
        <f>SUM(J10,I10)*Table2[[#This Row],[FTE ('#)]]</f>
        <v>0</v>
      </c>
      <c r="L10" s="63"/>
    </row>
    <row r="11" spans="1:14" ht="18" x14ac:dyDescent="0.35">
      <c r="A11" s="6" t="s">
        <v>11</v>
      </c>
      <c r="B11" s="1" t="s">
        <v>15</v>
      </c>
      <c r="C11" s="58"/>
      <c r="D11" s="14">
        <f t="shared" si="1"/>
        <v>74150.153000000006</v>
      </c>
      <c r="E11" s="14">
        <f>Table2[[#This Row],[Base Rate/FTE*]]*0.1</f>
        <v>7415.0153000000009</v>
      </c>
      <c r="F11" s="14">
        <f>Table2[[#This Row],[Base Rate/FTE*]]*0.23</f>
        <v>17054.535190000002</v>
      </c>
      <c r="G11" s="14">
        <f t="shared" si="2"/>
        <v>98619.703490000014</v>
      </c>
      <c r="H11" s="14" t="s">
        <v>13</v>
      </c>
      <c r="I11" s="14">
        <f>Table2[[#This Row],[Total Salary/FTE
 (base + admin + on-costs)]]</f>
        <v>98619.703490000014</v>
      </c>
      <c r="J11" s="14">
        <f>Table2[[#This Row],[Base Rate/FTE*]]*0.025</f>
        <v>1853.7538250000002</v>
      </c>
      <c r="K11" s="14">
        <f>SUM(J11,I11)*Table2[[#This Row],[FTE ('#)]]</f>
        <v>0</v>
      </c>
      <c r="L11" s="63"/>
    </row>
    <row r="12" spans="1:14" ht="18.75" thickBot="1" x14ac:dyDescent="0.4">
      <c r="A12" s="26" t="s">
        <v>16</v>
      </c>
      <c r="B12" s="27"/>
      <c r="C12" s="31"/>
      <c r="D12" s="47"/>
      <c r="E12" s="47"/>
      <c r="F12" s="14"/>
      <c r="G12" s="14"/>
      <c r="H12" s="47"/>
      <c r="I12" s="28">
        <f t="shared" ref="I12:J12" si="3">SUM(I9:I11)</f>
        <v>335061.5557275</v>
      </c>
      <c r="J12" s="28">
        <f t="shared" si="3"/>
        <v>6298.1495437499998</v>
      </c>
      <c r="K12" s="29">
        <f>SUM(K9:K11)</f>
        <v>0</v>
      </c>
      <c r="L12" s="63"/>
      <c r="M12" s="43"/>
      <c r="N12" s="43"/>
    </row>
    <row r="13" spans="1:14" ht="15.75" thickTop="1" x14ac:dyDescent="0.25">
      <c r="A13" s="2" t="s">
        <v>18</v>
      </c>
      <c r="B13" s="7"/>
      <c r="C13" s="30"/>
      <c r="D13" s="14"/>
      <c r="E13" s="14"/>
      <c r="F13" s="14"/>
      <c r="G13" s="14"/>
      <c r="H13" s="14"/>
      <c r="I13" s="14"/>
      <c r="J13" s="14"/>
      <c r="K13" s="14"/>
      <c r="L13" s="46"/>
      <c r="M13" s="44"/>
      <c r="N13" s="44"/>
    </row>
    <row r="14" spans="1:14" ht="18" x14ac:dyDescent="0.35">
      <c r="A14" s="4" t="s">
        <v>11</v>
      </c>
      <c r="B14" s="1" t="s">
        <v>12</v>
      </c>
      <c r="C14" s="58"/>
      <c r="D14" s="14">
        <f>SUM(D9,J9)</f>
        <v>83223.663706249994</v>
      </c>
      <c r="E14" s="14">
        <f>Table2[[#This Row],[Base Rate/FTE*]]*0.1</f>
        <v>8322.366370624999</v>
      </c>
      <c r="F14" s="14">
        <f>Table2[[#This Row],[Base Rate/FTE*]]*0.23</f>
        <v>19141.442652437501</v>
      </c>
      <c r="G14" s="14">
        <f t="shared" si="2"/>
        <v>110687.47272931249</v>
      </c>
      <c r="H14" s="14" t="s">
        <v>13</v>
      </c>
      <c r="I14" s="14">
        <f>SUM(I9:J9)</f>
        <v>110017.62372875</v>
      </c>
      <c r="J14" s="14">
        <f>Table2[[#This Row],[Base Rate/FTE*]]*0.025</f>
        <v>2080.5915926562498</v>
      </c>
      <c r="K14" s="14">
        <f>SUM(Table2[[#This Row],[TOTAL SALARY/ FTE]:[2.5% WPI (base*0.025)]])*Table2[[#This Row],[FTE ('#)]]</f>
        <v>0</v>
      </c>
      <c r="L14" s="63"/>
      <c r="M14" s="44"/>
      <c r="N14" s="44"/>
    </row>
    <row r="15" spans="1:14" ht="18" x14ac:dyDescent="0.35">
      <c r="A15" s="4" t="s">
        <v>11</v>
      </c>
      <c r="B15" s="1" t="s">
        <v>14</v>
      </c>
      <c r="C15" s="58"/>
      <c r="D15" s="14">
        <f t="shared" ref="D15:D16" si="4">SUM(D10,J10)</f>
        <v>98996.560762499998</v>
      </c>
      <c r="E15" s="14">
        <f>Table2[[#This Row],[Base Rate/FTE*]]*0.1</f>
        <v>9899.6560762500012</v>
      </c>
      <c r="F15" s="14">
        <f>Table2[[#This Row],[Base Rate/FTE*]]*0.23</f>
        <v>22769.208975375001</v>
      </c>
      <c r="G15" s="14">
        <f t="shared" si="2"/>
        <v>131665.42581412499</v>
      </c>
      <c r="H15" s="14" t="s">
        <v>13</v>
      </c>
      <c r="I15" s="14">
        <f>SUM(I10:J10)</f>
        <v>130868.62422750001</v>
      </c>
      <c r="J15" s="14">
        <f>Table2[[#This Row],[Base Rate/FTE*]]*0.025</f>
        <v>2474.9140190625003</v>
      </c>
      <c r="K15" s="14">
        <f>SUM(Table2[[#This Row],[TOTAL SALARY/ FTE]:[2.5% WPI (base*0.025)]])*Table2[[#This Row],[FTE ('#)]]</f>
        <v>0</v>
      </c>
      <c r="L15" s="63"/>
      <c r="M15" s="44"/>
      <c r="N15" s="44"/>
    </row>
    <row r="16" spans="1:14" ht="18" x14ac:dyDescent="0.35">
      <c r="A16" s="6" t="s">
        <v>11</v>
      </c>
      <c r="B16" s="1" t="s">
        <v>15</v>
      </c>
      <c r="C16" s="58"/>
      <c r="D16" s="14">
        <f t="shared" si="4"/>
        <v>76003.906825000013</v>
      </c>
      <c r="E16" s="14">
        <f>Table2[[#This Row],[Base Rate/FTE*]]*0.1</f>
        <v>7600.3906825000013</v>
      </c>
      <c r="F16" s="14">
        <f>Table2[[#This Row],[Base Rate/FTE*]]*0.23</f>
        <v>17480.898569750003</v>
      </c>
      <c r="G16" s="14">
        <f t="shared" si="2"/>
        <v>101085.19607725002</v>
      </c>
      <c r="H16" s="14" t="s">
        <v>13</v>
      </c>
      <c r="I16" s="14">
        <f>SUM(I11:J11)</f>
        <v>100473.45731500002</v>
      </c>
      <c r="J16" s="14">
        <f>Table2[[#This Row],[Base Rate/FTE*]]*0.025</f>
        <v>1900.0976706250003</v>
      </c>
      <c r="K16" s="14">
        <f>SUM(Table2[[#This Row],[TOTAL SALARY/ FTE]:[2.5% WPI (base*0.025)]])*Table2[[#This Row],[FTE ('#)]]</f>
        <v>0</v>
      </c>
      <c r="L16" s="63"/>
      <c r="M16" s="44"/>
      <c r="N16" s="44"/>
    </row>
    <row r="17" spans="1:15" ht="18.75" thickBot="1" x14ac:dyDescent="0.4">
      <c r="A17" s="26" t="s">
        <v>16</v>
      </c>
      <c r="B17" s="27"/>
      <c r="C17" s="31"/>
      <c r="D17" s="47"/>
      <c r="E17" s="47"/>
      <c r="F17" s="14"/>
      <c r="G17" s="14"/>
      <c r="H17" s="47"/>
      <c r="I17" s="28">
        <f t="shared" ref="I17:J17" si="5">SUM(I14:I16)</f>
        <v>341359.70527125004</v>
      </c>
      <c r="J17" s="28">
        <f t="shared" si="5"/>
        <v>6455.6032823437508</v>
      </c>
      <c r="K17" s="29">
        <f>SUM(K14:K16)</f>
        <v>0</v>
      </c>
      <c r="L17" s="63"/>
      <c r="M17" s="43"/>
      <c r="N17" s="43"/>
    </row>
    <row r="18" spans="1:15" ht="15.75" thickTop="1" x14ac:dyDescent="0.25">
      <c r="A18" s="2" t="s">
        <v>19</v>
      </c>
      <c r="B18" s="7"/>
      <c r="C18" s="30"/>
      <c r="D18" s="14"/>
      <c r="E18" s="14"/>
      <c r="F18" s="14"/>
      <c r="G18" s="14"/>
      <c r="H18" s="14"/>
      <c r="I18" s="14"/>
      <c r="J18" s="14"/>
      <c r="K18" s="14"/>
      <c r="L18" s="46"/>
      <c r="M18" s="44"/>
    </row>
    <row r="19" spans="1:15" ht="18" x14ac:dyDescent="0.35">
      <c r="A19" s="4" t="s">
        <v>11</v>
      </c>
      <c r="B19" s="1" t="s">
        <v>12</v>
      </c>
      <c r="C19" s="58"/>
      <c r="D19" s="14">
        <f>SUM(J14,D14)</f>
        <v>85304.255298906239</v>
      </c>
      <c r="E19" s="14">
        <f>Table2[[#This Row],[Base Rate/FTE*]]*0.1</f>
        <v>8530.4255298906246</v>
      </c>
      <c r="F19" s="14">
        <f>Table2[[#This Row],[Base Rate/FTE*]]*0.23</f>
        <v>19619.978718748436</v>
      </c>
      <c r="G19" s="14">
        <f t="shared" si="2"/>
        <v>113454.65954754529</v>
      </c>
      <c r="H19" s="14" t="s">
        <v>13</v>
      </c>
      <c r="I19" s="14">
        <f>SUM(I14:J14)</f>
        <v>112098.21532140624</v>
      </c>
      <c r="J19" s="14">
        <f>Table2[[#This Row],[Base Rate/FTE*]]*0.025</f>
        <v>2132.6063824726562</v>
      </c>
      <c r="K19" s="14">
        <f>SUM(Table2[[#This Row],[TOTAL SALARY/ FTE]:[2.5% WPI (base*0.025)]])*Table2[[#This Row],[FTE ('#)]]</f>
        <v>0</v>
      </c>
      <c r="L19" s="63"/>
      <c r="M19" s="44"/>
    </row>
    <row r="20" spans="1:15" ht="18" x14ac:dyDescent="0.35">
      <c r="A20" s="4" t="s">
        <v>11</v>
      </c>
      <c r="B20" s="1" t="s">
        <v>14</v>
      </c>
      <c r="C20" s="58"/>
      <c r="D20" s="14">
        <f t="shared" ref="D20:D21" si="6">SUM(J15,D15)</f>
        <v>101471.4747815625</v>
      </c>
      <c r="E20" s="14">
        <f>Table2[[#This Row],[Base Rate/FTE*]]*0.1</f>
        <v>10147.14747815625</v>
      </c>
      <c r="F20" s="14">
        <f>Table2[[#This Row],[Base Rate/FTE*]]*0.23</f>
        <v>23338.439199759378</v>
      </c>
      <c r="G20" s="14">
        <f t="shared" si="2"/>
        <v>134957.06145947811</v>
      </c>
      <c r="H20" s="14" t="s">
        <v>13</v>
      </c>
      <c r="I20" s="14">
        <f>SUM(I15:J15)</f>
        <v>133343.5382465625</v>
      </c>
      <c r="J20" s="14">
        <f>Table2[[#This Row],[Base Rate/FTE*]]*0.025</f>
        <v>2536.7868695390625</v>
      </c>
      <c r="K20" s="14">
        <f>SUM(Table2[[#This Row],[TOTAL SALARY/ FTE]:[2.5% WPI (base*0.025)]])*Table2[[#This Row],[FTE ('#)]]</f>
        <v>0</v>
      </c>
      <c r="L20" s="63"/>
      <c r="M20" s="44"/>
    </row>
    <row r="21" spans="1:15" ht="18" x14ac:dyDescent="0.35">
      <c r="A21" s="6" t="s">
        <v>11</v>
      </c>
      <c r="B21" s="1" t="s">
        <v>15</v>
      </c>
      <c r="C21" s="58"/>
      <c r="D21" s="14">
        <f t="shared" si="6"/>
        <v>77904.004495625006</v>
      </c>
      <c r="E21" s="14">
        <f>Table2[[#This Row],[Base Rate/FTE*]]*0.1</f>
        <v>7790.4004495625013</v>
      </c>
      <c r="F21" s="14">
        <f>Table2[[#This Row],[Base Rate/FTE*]]*0.23</f>
        <v>17917.921033993753</v>
      </c>
      <c r="G21" s="14">
        <f t="shared" si="2"/>
        <v>103612.32597918126</v>
      </c>
      <c r="H21" s="14" t="s">
        <v>13</v>
      </c>
      <c r="I21" s="14">
        <f>SUM(I16:J16)</f>
        <v>102373.55498562503</v>
      </c>
      <c r="J21" s="14">
        <f>Table2[[#This Row],[Base Rate/FTE*]]*0.025</f>
        <v>1947.6001123906253</v>
      </c>
      <c r="K21" s="14">
        <f>SUM(Table2[[#This Row],[TOTAL SALARY/ FTE]:[2.5% WPI (base*0.025)]])*Table2[[#This Row],[FTE ('#)]]</f>
        <v>0</v>
      </c>
      <c r="L21" s="63"/>
      <c r="M21" s="44"/>
    </row>
    <row r="22" spans="1:15" ht="18.75" thickBot="1" x14ac:dyDescent="0.4">
      <c r="A22" s="26" t="s">
        <v>16</v>
      </c>
      <c r="B22" s="27"/>
      <c r="C22" s="32"/>
      <c r="D22" s="47"/>
      <c r="E22" s="47"/>
      <c r="F22" s="47"/>
      <c r="G22" s="29"/>
      <c r="H22" s="47"/>
      <c r="I22" s="28"/>
      <c r="J22" s="28">
        <f t="shared" ref="J22" si="7">SUM(J19:J21)</f>
        <v>6616.993364402344</v>
      </c>
      <c r="K22" s="49">
        <f>SUM(K19:K21)</f>
        <v>0</v>
      </c>
      <c r="L22" s="46"/>
      <c r="M22" s="43"/>
      <c r="N22" s="43"/>
    </row>
    <row r="23" spans="1:15" ht="15.75" thickTop="1" x14ac:dyDescent="0.25">
      <c r="A23" s="12" t="s">
        <v>20</v>
      </c>
      <c r="B23" s="13" t="s">
        <v>21</v>
      </c>
      <c r="C23" s="60">
        <f>SUM(C19:C20)</f>
        <v>0</v>
      </c>
      <c r="D23" s="45"/>
      <c r="E23" s="45"/>
      <c r="F23" s="45"/>
      <c r="G23" s="50"/>
      <c r="H23" s="45"/>
      <c r="I23" s="45"/>
      <c r="J23" s="50"/>
      <c r="K23" s="15">
        <f>C23*5000</f>
        <v>0</v>
      </c>
      <c r="L23" s="46"/>
      <c r="M23" s="42"/>
      <c r="N23" s="42"/>
    </row>
    <row r="24" spans="1:15" ht="15.75" thickBot="1" x14ac:dyDescent="0.3">
      <c r="A24" s="10" t="s">
        <v>22</v>
      </c>
      <c r="B24" s="11"/>
      <c r="C24" s="33"/>
      <c r="D24" s="51"/>
      <c r="E24" s="51"/>
      <c r="F24" s="51"/>
      <c r="G24" s="51"/>
      <c r="H24" s="51"/>
      <c r="I24" s="51"/>
      <c r="J24" s="52"/>
      <c r="K24" s="53">
        <f>SUM(K7,K12,K17,K22:K23)</f>
        <v>0</v>
      </c>
      <c r="L24" s="46"/>
    </row>
    <row r="25" spans="1:15" ht="15.75" thickTop="1" x14ac:dyDescent="0.25">
      <c r="C25" s="34"/>
      <c r="D25" s="48"/>
      <c r="E25" s="48"/>
      <c r="F25" s="48"/>
      <c r="G25" s="48"/>
      <c r="H25" s="48"/>
      <c r="I25" s="48"/>
      <c r="J25" s="54"/>
      <c r="K25" s="55"/>
      <c r="L25" s="39"/>
      <c r="N25" s="43"/>
      <c r="O25" s="12"/>
    </row>
    <row r="26" spans="1:15" x14ac:dyDescent="0.25">
      <c r="A26" s="61" t="s">
        <v>25</v>
      </c>
      <c r="C26" s="35"/>
      <c r="D26" s="39"/>
      <c r="E26" s="39"/>
      <c r="F26" s="39"/>
      <c r="G26" s="39"/>
      <c r="H26" s="39"/>
      <c r="I26" s="39"/>
      <c r="J26" s="56"/>
      <c r="K26" s="57"/>
      <c r="L26" s="39"/>
    </row>
    <row r="27" spans="1:15" x14ac:dyDescent="0.25">
      <c r="D27" s="9"/>
      <c r="M27" s="44"/>
      <c r="N27" s="43"/>
    </row>
    <row r="28" spans="1:15" x14ac:dyDescent="0.25">
      <c r="D28" s="9"/>
      <c r="M28" s="44"/>
      <c r="N28" s="43"/>
    </row>
    <row r="30" spans="1:15" x14ac:dyDescent="0.25">
      <c r="I30" s="9"/>
    </row>
    <row r="31" spans="1:15" x14ac:dyDescent="0.25">
      <c r="I31" s="9"/>
    </row>
    <row r="32" spans="1:15" x14ac:dyDescent="0.25">
      <c r="G32" s="38"/>
      <c r="H32" s="9"/>
      <c r="K32" s="36"/>
    </row>
    <row r="33" spans="4:11" x14ac:dyDescent="0.25">
      <c r="G33" s="38"/>
      <c r="H33" s="9"/>
      <c r="K33" s="36"/>
    </row>
    <row r="34" spans="4:11" x14ac:dyDescent="0.25">
      <c r="G34" s="38"/>
    </row>
    <row r="35" spans="4:11" x14ac:dyDescent="0.25">
      <c r="G35" s="38"/>
    </row>
    <row r="36" spans="4:11" x14ac:dyDescent="0.25">
      <c r="D36" s="38"/>
      <c r="G36" s="38"/>
    </row>
    <row r="37" spans="4:11" x14ac:dyDescent="0.25">
      <c r="D37" s="38"/>
      <c r="G37" s="38"/>
    </row>
    <row r="38" spans="4:11" x14ac:dyDescent="0.25">
      <c r="G38" s="38"/>
    </row>
    <row r="39" spans="4:11" x14ac:dyDescent="0.25">
      <c r="G39" s="38"/>
    </row>
    <row r="40" spans="4:11" x14ac:dyDescent="0.25">
      <c r="G40" s="38"/>
    </row>
    <row r="41" spans="4:11" x14ac:dyDescent="0.25">
      <c r="G41" s="38"/>
    </row>
    <row r="42" spans="4:11" x14ac:dyDescent="0.25">
      <c r="G42" s="38"/>
    </row>
    <row r="43" spans="4:11" x14ac:dyDescent="0.25">
      <c r="G43" s="37"/>
    </row>
  </sheetData>
  <sheetProtection algorithmName="SHA-512" hashValue="HvHiBCV+Udqtj07Tku0qsaSYkD12WjzfhgnKTkmh1tRkA5sMdAOz9M4tNPpwwEKvM84z6wKoZ0doeBzK/SJs5g==" saltValue="URwvh+I1UKpJgmdzusLBsQ==" spinCount="100000" sheet="1" objects="1" scenarios="1"/>
  <protectedRanges>
    <protectedRange algorithmName="SHA-512" hashValue="An0GDNr3CXrdPHq4KNFRLsGKNKtjhhHA7ZaEjmh92ZqDiPZLkILIIA48w6ekxaJIKXA11NQnBz3OUUJSc42kUg==" saltValue="2eCfI/QBVhJjha4nfsRQZg==" spinCount="100000" sqref="C3:C24" name="FTE"/>
  </protectedRanges>
  <mergeCells count="1">
    <mergeCell ref="A1:K1"/>
  </mergeCells>
  <phoneticPr fontId="6" type="noConversion"/>
  <dataValidations count="3">
    <dataValidation type="decimal" allowBlank="1" showInputMessage="1" showErrorMessage="1" error="You must enter a valid number. Refer to the maximum funding available in the Guidelines. If FTE is 0 for this role, leave cell blank." prompt="Value must not exceed the maximum FTE for your region._x000a_Please refer to the guidelines._x000a_" sqref="C4 C9 C14 C19" xr:uid="{FD657050-4621-4CE2-81E4-A8F57D20D541}">
      <formula1>0.5</formula1>
      <formula2>20</formula2>
    </dataValidation>
    <dataValidation type="decimal" allowBlank="1" showInputMessage="1" showErrorMessage="1" error="You must enter a valid number, either 0.5 or 1.0. If FTE is 0 for this role, leave cell blank." prompt="Acceptable values are either: 0.5 or 1. _x000a_If FTE is 0 for this role, leave cell blank." sqref="C5 C10 C15 C20" xr:uid="{A65C4391-60E2-4071-847C-27C48759AC87}">
      <formula1>0.5</formula1>
      <formula2>1</formula2>
    </dataValidation>
    <dataValidation type="decimal" operator="equal" allowBlank="1" showInputMessage="1" showErrorMessage="1" error="Value must be 0.5 or leave cell blank." prompt="Value must be 0.5 or leave cell blank." sqref="C6 C11 C16 C21" xr:uid="{8C0251C1-51CF-4C01-A248-006B3046FE7E}">
      <formula1>0.5</formula1>
    </dataValidation>
  </dataValidations>
  <hyperlinks>
    <hyperlink ref="A26" r:id="rId1" xr:uid="{9891E7AF-9918-4BD4-8BF3-C539D639E6F9}"/>
  </hyperlinks>
  <pageMargins left="0.7" right="0.7" top="0.75" bottom="0.75" header="0.3" footer="0.3"/>
  <pageSetup paperSize="9" orientation="portrait" r:id="rId2"/>
  <ignoredErrors>
    <ignoredError sqref="G4:H7 L8 E5:F5 K23:L23 L16 E6:F6 L18:L19 L6 L7 L13 L11 K25:L25 L10 L9 L22 K10 K13:K15 I12:I21 K18:K21 E9:K9 E22:J22 E17:H21 E13:H16 J16:K16 J17:J21 J12:J15 E11:K11 E10:J10 F12:H12 E4 L15" calculatedColumn="1"/>
  </ignoredErrors>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2539EF8565B345BFE8C0F16EA59872" ma:contentTypeVersion="2" ma:contentTypeDescription="Create a new document." ma:contentTypeScope="" ma:versionID="c6fd53e8fed2269a443e836c7c37f288">
  <xsd:schema xmlns:xsd="http://www.w3.org/2001/XMLSchema" xmlns:xs="http://www.w3.org/2001/XMLSchema" xmlns:p="http://schemas.microsoft.com/office/2006/metadata/properties" xmlns:ns2="b3055785-e159-4cbd-af2d-6324fd8d9ea1" targetNamespace="http://schemas.microsoft.com/office/2006/metadata/properties" ma:root="true" ma:fieldsID="1ccc2b5d5332673c31836a13ba470add" ns2:_="">
    <xsd:import namespace="b3055785-e159-4cbd-af2d-6324fd8d9ea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055785-e159-4cbd-af2d-6324fd8d9ea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8087EF-C391-4CCE-BE24-AC746671340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0EE0BA8-205B-4C41-ACA4-24198E8DF5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055785-e159-4cbd-af2d-6324fd8d9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DDC1B9-EB18-4762-A97A-FBB12E3F34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Nicholas Wakeling</dc:creator>
  <cp:keywords/>
  <dc:description/>
  <cp:lastModifiedBy>Julie Busuttil</cp:lastModifiedBy>
  <cp:revision/>
  <dcterms:created xsi:type="dcterms:W3CDTF">2023-09-12T06:38:01Z</dcterms:created>
  <dcterms:modified xsi:type="dcterms:W3CDTF">2023-10-26T09:36:07Z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0x010100A72539EF8565B345BFE8C0F16EA59872</vt:lpwstr>
  </property>
</Properties>
</file>